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30" windowWidth="15480" windowHeight="7710"/>
  </bookViews>
  <sheets>
    <sheet name="Advance settled on 18 June 2012" sheetId="1" r:id="rId1"/>
    <sheet name="Sheet1" sheetId="2" r:id="rId2"/>
  </sheets>
  <definedNames>
    <definedName name="_xlnm._FilterDatabase" localSheetId="0" hidden="1">'Advance settled on 18 June 2012'!$P$1:$P$18</definedName>
    <definedName name="_xlnm.Print_Area" localSheetId="0">'Advance settled on 18 June 2012'!$A$1:$R$18</definedName>
  </definedNames>
  <calcPr calcId="125725"/>
</workbook>
</file>

<file path=xl/calcChain.xml><?xml version="1.0" encoding="utf-8"?>
<calcChain xmlns="http://schemas.openxmlformats.org/spreadsheetml/2006/main">
  <c r="H24" i="1" a="1"/>
  <c r="H24" s="1"/>
  <c r="H25" a="1"/>
  <c r="H25" s="1"/>
  <c r="H26" a="1"/>
  <c r="H26" s="1"/>
  <c r="H27" a="1"/>
  <c r="H27" s="1"/>
  <c r="H28" a="1"/>
  <c r="H28" s="1"/>
  <c r="H29" a="1"/>
  <c r="H29" s="1"/>
  <c r="H30" a="1"/>
  <c r="H30" s="1"/>
  <c r="H31" a="1"/>
  <c r="H31" s="1"/>
  <c r="H32" a="1"/>
  <c r="H32" s="1"/>
  <c r="H33" a="1"/>
  <c r="H33" s="1"/>
  <c r="H34" a="1"/>
  <c r="H34" s="1"/>
  <c r="H35" a="1"/>
  <c r="H35" s="1"/>
  <c r="H36" a="1"/>
  <c r="H36" s="1"/>
  <c r="H37" a="1"/>
  <c r="H37" s="1"/>
  <c r="I24" a="1"/>
  <c r="I24" s="1"/>
  <c r="I33" a="1"/>
  <c r="I33" s="1"/>
  <c r="I34" a="1"/>
  <c r="I34" s="1"/>
  <c r="I35" a="1"/>
  <c r="I35" s="1"/>
  <c r="I36" a="1"/>
  <c r="I36" s="1"/>
  <c r="I37" a="1"/>
  <c r="I37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K37"/>
  <c r="K36"/>
  <c r="K35"/>
  <c r="K34"/>
  <c r="K33"/>
  <c r="K32"/>
  <c r="K31"/>
  <c r="K30"/>
  <c r="K29"/>
  <c r="K28"/>
  <c r="K27"/>
  <c r="K26"/>
  <c r="K25"/>
  <c r="K24"/>
  <c r="D31"/>
  <c r="D36"/>
  <c r="D35"/>
  <c r="D34"/>
  <c r="D33"/>
  <c r="D32"/>
  <c r="D28"/>
  <c r="D27"/>
  <c r="D26"/>
  <c r="D25"/>
  <c r="D24"/>
  <c r="P17"/>
  <c r="N15"/>
  <c r="J15"/>
  <c r="F15"/>
  <c r="J12"/>
  <c r="H12"/>
  <c r="N12"/>
  <c r="N14"/>
  <c r="H14"/>
  <c r="J14"/>
  <c r="N16"/>
  <c r="P16"/>
  <c r="R16" s="1"/>
  <c r="J16"/>
  <c r="H16"/>
  <c r="H9"/>
  <c r="J9"/>
  <c r="N9"/>
  <c r="N11"/>
  <c r="J11"/>
  <c r="H11"/>
  <c r="N5" l="1"/>
  <c r="J5" l="1"/>
  <c r="N6"/>
  <c r="J6"/>
  <c r="H5"/>
  <c r="H6"/>
  <c r="H10"/>
  <c r="N10"/>
  <c r="N8"/>
  <c r="F8"/>
  <c r="H8"/>
  <c r="N7"/>
  <c r="H7"/>
  <c r="L7"/>
  <c r="J13" l="1"/>
  <c r="H13"/>
  <c r="N13"/>
  <c r="N4"/>
  <c r="P4"/>
  <c r="J4"/>
  <c r="N3"/>
  <c r="J3" l="1"/>
  <c r="H3"/>
  <c r="E18"/>
  <c r="Q17" l="1"/>
  <c r="Q16"/>
  <c r="F14"/>
  <c r="F11"/>
  <c r="P10"/>
  <c r="P9"/>
  <c r="P8"/>
  <c r="P7"/>
  <c r="L6"/>
  <c r="P6" s="1"/>
  <c r="Q9" l="1"/>
  <c r="R9"/>
  <c r="Q6"/>
  <c r="R6"/>
  <c r="Q10"/>
  <c r="R10"/>
  <c r="Q8"/>
  <c r="R8"/>
  <c r="Q7"/>
  <c r="R7"/>
  <c r="P11"/>
  <c r="P12"/>
  <c r="P13"/>
  <c r="P14"/>
  <c r="P15"/>
  <c r="P3"/>
  <c r="R3" s="1"/>
  <c r="R4"/>
  <c r="P5"/>
  <c r="P18" s="1"/>
  <c r="R18" s="1"/>
  <c r="Q15" l="1"/>
  <c r="R15"/>
  <c r="Q12"/>
  <c r="R12"/>
  <c r="Q14"/>
  <c r="R14"/>
  <c r="Q11"/>
  <c r="R11"/>
  <c r="Q5"/>
  <c r="R5"/>
  <c r="Q13"/>
  <c r="R13"/>
  <c r="Q4"/>
  <c r="Q3"/>
  <c r="Q18" l="1"/>
</calcChain>
</file>

<file path=xl/sharedStrings.xml><?xml version="1.0" encoding="utf-8"?>
<sst xmlns="http://schemas.openxmlformats.org/spreadsheetml/2006/main" count="114" uniqueCount="92">
  <si>
    <t>S.N.</t>
  </si>
  <si>
    <t>Name</t>
  </si>
  <si>
    <t>Grade</t>
  </si>
  <si>
    <t>School</t>
  </si>
  <si>
    <t>Total</t>
  </si>
  <si>
    <t>Balance</t>
  </si>
  <si>
    <t>Remarks</t>
  </si>
  <si>
    <t>Boarding  fee</t>
  </si>
  <si>
    <t>Monthly tution fee</t>
  </si>
  <si>
    <t>Fooding exps</t>
  </si>
  <si>
    <t>Others</t>
  </si>
  <si>
    <t>Bijay Barma</t>
  </si>
  <si>
    <t>Spring Dell Academy, Banke</t>
  </si>
  <si>
    <t>Binod Barma</t>
  </si>
  <si>
    <t>Manoj Barma</t>
  </si>
  <si>
    <t>Jitendra Barma</t>
  </si>
  <si>
    <t>Birbal Sunar</t>
  </si>
  <si>
    <t>Dreamland B School, Npgunj</t>
  </si>
  <si>
    <t>Jaya Bageswory H S School, Nplgunj</t>
  </si>
  <si>
    <t>Nisha Basnet</t>
  </si>
  <si>
    <t>Pashupati Sec School, Banke</t>
  </si>
  <si>
    <t>Nara Rawat</t>
  </si>
  <si>
    <t>Children's Paradise Schl,Surkhet</t>
  </si>
  <si>
    <t>Surya Buda</t>
  </si>
  <si>
    <t>Binita Bam</t>
  </si>
  <si>
    <t>RajKumar Rawat</t>
  </si>
  <si>
    <t>Shiva Thapa</t>
  </si>
  <si>
    <t>Rajesh Singh</t>
  </si>
  <si>
    <t>Ashworya Bidha Niketan, Kailali</t>
  </si>
  <si>
    <t>Resham Khattri</t>
  </si>
  <si>
    <t>School social worker Nepalgunj</t>
  </si>
  <si>
    <t>Actual expenses on  ISIS Educational scholarship support to the Reintegrated Children Baisakh to Asadh'69</t>
  </si>
  <si>
    <t>sports 300,library 400,first aid 100,r&amp;m 300,extra 150,school devlpmnt 100</t>
  </si>
  <si>
    <t>Adm/Annual fee</t>
  </si>
  <si>
    <t>school bag rs.700, uniform rs.900,shoes rs.900, copies etc rs.1355, books 2069, 2 pair uniform rs.766</t>
  </si>
  <si>
    <t>Baisakh to Asad'69 @ rs.1200/- per month</t>
  </si>
  <si>
    <t>sports 300,library 400,first aid 100,r&amp;m 300,extra 150,school devlpmnt 101</t>
  </si>
  <si>
    <t>school bag rs.700, uniform rs.450,shoes rs.900, books 2069, supplies 1550,uniform rs 364</t>
  </si>
  <si>
    <t>stationeries 447, bag 600, stationeries 1367, course books 1485, soes blk wht sock 550</t>
  </si>
  <si>
    <t>Baisakh to Asad'69 @ rs.1350/- per month</t>
  </si>
  <si>
    <t>libraray 150,r&amp;m 500,games 450,file 100</t>
  </si>
  <si>
    <t>Baisakh-asadh, rs. 1380/- per month</t>
  </si>
  <si>
    <t>Baisakh-Asadh, rs. 1380/- per month</t>
  </si>
  <si>
    <t>Baisakh-Asadh, rs. 930/- per month</t>
  </si>
  <si>
    <t xml:space="preserve">Baisakh-Asadh,magh 15days, tution rs. 6000/- per month </t>
  </si>
  <si>
    <t xml:space="preserve">Baisakh-Asadh and magh 15 days , tution rs. 5500/-   p m </t>
  </si>
  <si>
    <t>adm.fee ??</t>
  </si>
  <si>
    <t>course books 1413+969,supplies 570, blk shoes,shirtpant 530, bag 650,white shoe 250,sock 70,copy etc 845, 1st term exam fee</t>
  </si>
  <si>
    <t>Dinesh Rokaya aka Pawan Rokaya</t>
  </si>
  <si>
    <t>Baisakh-Asadh, rs. 1500/- per month, r&amp;m 1500,game 700,extra 800,tax 195</t>
  </si>
  <si>
    <t>Baisakh-Asadh, rs. 4090/- per mnthhostel lodging ,dhobi half yrly 990,utensil 330,hstl r&amp;m 1105,first aid 150,</t>
  </si>
  <si>
    <t>brush polish 220,uniform 800,tshir and books rs.2560, shirt pant 552,wht shoe 270, blk shoe 925, sock 125, bas 750</t>
  </si>
  <si>
    <t>Daman Raj Aidi aka Dipendra Aidi</t>
  </si>
  <si>
    <t>Baisakh-Asadh, tution fee rs. 1190/- per month ,libraray 150,maintnae 500,games 450, file 100</t>
  </si>
  <si>
    <t>Baisakh-Asadh rs. 1300/- per month</t>
  </si>
  <si>
    <t>Baisakh-Asadh, rs. 1200/- per month</t>
  </si>
  <si>
    <t xml:space="preserve"> bag 700,school uniform 900,shoes 900,uniform 710, supplies 1550, course book 2065</t>
  </si>
  <si>
    <t>sports 300,library 400,first aid 100,r&amp;m 300,extra 150,school devlpmnt 100,</t>
  </si>
  <si>
    <t>sports 300,librarya 400,fist aid 100,r&amp;m 300,extra 150,school dev. 100</t>
  </si>
  <si>
    <t>bag 700,uniform 450,shoes 900,school supplies 1550, book set 2069, uniform 364</t>
  </si>
  <si>
    <t>book set 2020, supplies 990,wht shoe 350,brush 25,paste 20,polish 20,uniform 1800,blk shoe 950, bag 590, sock 160</t>
  </si>
  <si>
    <t>Annual fee</t>
  </si>
  <si>
    <t>Baisakh-Asadh, rs. 1365/- per month</t>
  </si>
  <si>
    <t>medicine 330,uniform 200,book set 1716, helath book 255 c,alculator 215, copy 880, bag 600, shirt 225, school shoe white 350</t>
  </si>
  <si>
    <t>Annual fee, exam fee</t>
  </si>
  <si>
    <t>Baisakh to Asad'069, rs. 1150/- per month</t>
  </si>
  <si>
    <t xml:space="preserve">Baisakh rs. 1120/- per month, </t>
  </si>
  <si>
    <t>computer 70, sports 185,library 90,extra 185,first aid 90,,misc. 370,form 200,id card 10</t>
  </si>
  <si>
    <t>supplies 315, supplies 1120,book set 1315,boo 96,book329, uniform 1504,shoes blk wht sock 1144,uniform 1620,bag 700</t>
  </si>
  <si>
    <t>Baisakh-Asadh, rs. 1200/- per month, computer pr month 50</t>
  </si>
  <si>
    <t>Examination fee 210, extra 455, med 60,msi 180, course book 1866, supplies 1449,unifroms 1750,white shoes 350, blk shoes 862,claulator 260,shoes polish 20</t>
  </si>
  <si>
    <t>Baisakh-Asadh, rs. 1050/- per month, computer fee 150</t>
  </si>
  <si>
    <t xml:space="preserve">book 342,bag 650,uniform 400,white shoe 260,sock 100black shoe 650,school tshirt,shir pant rs.852, book set rs.1692, suplies 755, </t>
  </si>
  <si>
    <t>library 150, maintenance 400, games 350, file 100</t>
  </si>
  <si>
    <t>Baisakh-Asadh, rs. 4015/- per month</t>
  </si>
  <si>
    <t>computer fee 190 p mnth 570, tax yrly 155,extr yrly 600,game yrly 600,r&amp;m 1200,tution fee 1200*3</t>
  </si>
  <si>
    <t>white shoe 300,black shoe sock 870,uniform 572, bag 750, dhobi charge rs.980/-half yearly,utensil yearly 325,hostel r&amp;m 1090, first aid 145, toiletries 416, books 2985, supplies tshrt 310, uniform 800, toiletries 416</t>
  </si>
  <si>
    <t>courier charge rs.40/-, stationeries rs.370, lunch at Dhangadi rs.198, dinner at npj rs.360, travel to surkhet and dhangadi 1475, hotel epxenses at surkhet rs. 1580, courier charge rs.40</t>
  </si>
  <si>
    <t>Total bills expenses</t>
  </si>
  <si>
    <t>Total advance given on 26th April 2012</t>
  </si>
  <si>
    <t>Advance given on 26th Apr'12</t>
  </si>
  <si>
    <r>
      <t>white shoe 240,polish 125,brush 50,pen 10, bag 700, pant shirt sock track drss 938, blk shoe 600, pant shirt 400, grph copy 25,paintin color 40,brush 15,</t>
    </r>
    <r>
      <rPr>
        <b/>
        <sz val="8"/>
        <color rgb="FFFF0000"/>
        <rFont val="Arial "/>
      </rPr>
      <t>calculator 850</t>
    </r>
    <r>
      <rPr>
        <sz val="8"/>
        <color theme="1"/>
        <rFont val="Arial "/>
      </rPr>
      <t>,books 2593</t>
    </r>
  </si>
  <si>
    <t>Class summary</t>
  </si>
  <si>
    <t>Grade-6</t>
  </si>
  <si>
    <t>Grade-7</t>
  </si>
  <si>
    <t>Grade-8</t>
  </si>
  <si>
    <t>Grade-9</t>
  </si>
  <si>
    <t>Grade-10</t>
  </si>
  <si>
    <t>School summary</t>
  </si>
  <si>
    <t>No.</t>
  </si>
  <si>
    <t>Max to min.</t>
  </si>
  <si>
    <t>This should be Manoj Barma. Since the amount are same it shows Binod Barma again.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</si>
</sst>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"/>
    </font>
    <font>
      <sz val="8"/>
      <color theme="1"/>
      <name val="Arial "/>
    </font>
    <font>
      <b/>
      <sz val="8"/>
      <color rgb="FFFF0000"/>
      <name val="Arial "/>
    </font>
    <font>
      <sz val="8"/>
      <name val="Arial "/>
    </font>
    <font>
      <b/>
      <sz val="8"/>
      <color theme="1"/>
      <name val="Arial "/>
    </font>
    <font>
      <sz val="10"/>
      <color theme="1"/>
      <name val="Arial "/>
    </font>
    <font>
      <sz val="9"/>
      <color theme="1"/>
      <name val="Arial "/>
    </font>
    <font>
      <b/>
      <sz val="9"/>
      <color theme="1"/>
      <name val="Arial 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DashDotDot">
        <color rgb="FF7030A0"/>
      </left>
      <right/>
      <top style="mediumDashDotDot">
        <color rgb="FF7030A0"/>
      </top>
      <bottom/>
      <diagonal/>
    </border>
    <border>
      <left/>
      <right/>
      <top style="mediumDashDotDot">
        <color rgb="FF7030A0"/>
      </top>
      <bottom/>
      <diagonal/>
    </border>
    <border>
      <left/>
      <right style="mediumDashDotDot">
        <color rgb="FF7030A0"/>
      </right>
      <top style="mediumDashDotDot">
        <color rgb="FF7030A0"/>
      </top>
      <bottom/>
      <diagonal/>
    </border>
    <border>
      <left style="mediumDashDotDot">
        <color rgb="FF7030A0"/>
      </left>
      <right/>
      <top/>
      <bottom/>
      <diagonal/>
    </border>
    <border>
      <left/>
      <right style="mediumDashDotDot">
        <color rgb="FF7030A0"/>
      </right>
      <top/>
      <bottom/>
      <diagonal/>
    </border>
    <border>
      <left style="mediumDashDotDot">
        <color rgb="FF7030A0"/>
      </left>
      <right/>
      <top/>
      <bottom style="mediumDashDotDot">
        <color rgb="FF7030A0"/>
      </bottom>
      <diagonal/>
    </border>
    <border>
      <left/>
      <right/>
      <top/>
      <bottom style="mediumDashDotDot">
        <color rgb="FF7030A0"/>
      </bottom>
      <diagonal/>
    </border>
    <border>
      <left/>
      <right style="mediumDashDotDot">
        <color rgb="FF7030A0"/>
      </right>
      <top/>
      <bottom style="mediumDashDotDot">
        <color rgb="FF7030A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3" fillId="0" borderId="10" xfId="1" applyNumberFormat="1" applyFont="1" applyBorder="1" applyAlignment="1">
      <alignment wrapText="1"/>
    </xf>
    <xf numFmtId="164" fontId="3" fillId="0" borderId="7" xfId="1" applyNumberFormat="1" applyFont="1" applyBorder="1" applyAlignment="1">
      <alignment wrapText="1"/>
    </xf>
    <xf numFmtId="164" fontId="3" fillId="3" borderId="7" xfId="1" applyNumberFormat="1" applyFont="1" applyFill="1" applyBorder="1" applyAlignment="1">
      <alignment wrapText="1"/>
    </xf>
    <xf numFmtId="12" fontId="3" fillId="0" borderId="7" xfId="1" applyNumberFormat="1" applyFont="1" applyBorder="1" applyAlignment="1">
      <alignment wrapText="1"/>
    </xf>
    <xf numFmtId="164" fontId="2" fillId="0" borderId="0" xfId="0" applyNumberFormat="1" applyFont="1"/>
    <xf numFmtId="164" fontId="3" fillId="0" borderId="15" xfId="1" applyNumberFormat="1" applyFont="1" applyBorder="1" applyAlignment="1">
      <alignment wrapText="1"/>
    </xf>
    <xf numFmtId="164" fontId="3" fillId="0" borderId="12" xfId="1" applyNumberFormat="1" applyFont="1" applyBorder="1" applyAlignment="1">
      <alignment wrapText="1"/>
    </xf>
    <xf numFmtId="164" fontId="5" fillId="0" borderId="14" xfId="1" applyNumberFormat="1" applyFont="1" applyBorder="1" applyAlignment="1">
      <alignment wrapText="1"/>
    </xf>
    <xf numFmtId="0" fontId="6" fillId="0" borderId="3" xfId="0" applyFont="1" applyBorder="1" applyAlignment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2" borderId="25" xfId="0" applyFont="1" applyFill="1" applyBorder="1" applyAlignment="1">
      <alignment wrapText="1"/>
    </xf>
    <xf numFmtId="0" fontId="6" fillId="3" borderId="25" xfId="0" applyFont="1" applyFill="1" applyBorder="1"/>
    <xf numFmtId="0" fontId="6" fillId="3" borderId="25" xfId="0" applyFont="1" applyFill="1" applyBorder="1" applyAlignment="1">
      <alignment wrapText="1"/>
    </xf>
    <xf numFmtId="0" fontId="6" fillId="2" borderId="25" xfId="0" applyFont="1" applyFill="1" applyBorder="1"/>
    <xf numFmtId="0" fontId="6" fillId="3" borderId="26" xfId="0" applyFont="1" applyFill="1" applyBorder="1"/>
    <xf numFmtId="164" fontId="3" fillId="0" borderId="21" xfId="1" applyNumberFormat="1" applyFont="1" applyBorder="1"/>
    <xf numFmtId="164" fontId="6" fillId="0" borderId="10" xfId="1" applyNumberFormat="1" applyFont="1" applyBorder="1"/>
    <xf numFmtId="164" fontId="3" fillId="0" borderId="10" xfId="1" applyNumberFormat="1" applyFont="1" applyBorder="1" applyAlignment="1">
      <alignment horizontal="center"/>
    </xf>
    <xf numFmtId="164" fontId="3" fillId="0" borderId="10" xfId="1" applyNumberFormat="1" applyFont="1" applyBorder="1"/>
    <xf numFmtId="164" fontId="3" fillId="0" borderId="16" xfId="1" applyNumberFormat="1" applyFont="1" applyBorder="1"/>
    <xf numFmtId="164" fontId="3" fillId="0" borderId="16" xfId="1" applyNumberFormat="1" applyFont="1" applyBorder="1" applyAlignment="1">
      <alignment wrapText="1"/>
    </xf>
    <xf numFmtId="164" fontId="6" fillId="4" borderId="22" xfId="1" applyNumberFormat="1" applyFont="1" applyFill="1" applyBorder="1"/>
    <xf numFmtId="164" fontId="6" fillId="0" borderId="22" xfId="0" applyNumberFormat="1" applyFont="1" applyBorder="1" applyAlignment="1">
      <alignment horizontal="right"/>
    </xf>
    <xf numFmtId="0" fontId="3" fillId="0" borderId="22" xfId="0" applyFont="1" applyBorder="1"/>
    <xf numFmtId="164" fontId="3" fillId="0" borderId="9" xfId="1" applyNumberFormat="1" applyFont="1" applyBorder="1"/>
    <xf numFmtId="164" fontId="6" fillId="0" borderId="7" xfId="1" applyNumberFormat="1" applyFont="1" applyBorder="1"/>
    <xf numFmtId="164" fontId="3" fillId="0" borderId="7" xfId="1" applyNumberFormat="1" applyFont="1" applyBorder="1" applyAlignment="1">
      <alignment horizontal="center"/>
    </xf>
    <xf numFmtId="164" fontId="3" fillId="0" borderId="7" xfId="1" applyNumberFormat="1" applyFont="1" applyBorder="1"/>
    <xf numFmtId="164" fontId="3" fillId="0" borderId="11" xfId="1" applyNumberFormat="1" applyFont="1" applyBorder="1"/>
    <xf numFmtId="164" fontId="3" fillId="0" borderId="11" xfId="1" applyNumberFormat="1" applyFont="1" applyBorder="1" applyAlignment="1">
      <alignment wrapText="1"/>
    </xf>
    <xf numFmtId="164" fontId="6" fillId="4" borderId="13" xfId="1" applyNumberFormat="1" applyFont="1" applyFill="1" applyBorder="1"/>
    <xf numFmtId="164" fontId="6" fillId="0" borderId="13" xfId="0" applyNumberFormat="1" applyFont="1" applyBorder="1" applyAlignment="1">
      <alignment horizontal="right"/>
    </xf>
    <xf numFmtId="0" fontId="3" fillId="0" borderId="13" xfId="0" applyFont="1" applyBorder="1"/>
    <xf numFmtId="164" fontId="3" fillId="3" borderId="7" xfId="1" applyNumberFormat="1" applyFont="1" applyFill="1" applyBorder="1"/>
    <xf numFmtId="164" fontId="6" fillId="0" borderId="7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right"/>
    </xf>
    <xf numFmtId="12" fontId="6" fillId="0" borderId="7" xfId="1" applyNumberFormat="1" applyFont="1" applyBorder="1"/>
    <xf numFmtId="12" fontId="3" fillId="0" borderId="7" xfId="1" applyNumberFormat="1" applyFont="1" applyBorder="1" applyAlignment="1">
      <alignment horizontal="center"/>
    </xf>
    <xf numFmtId="12" fontId="3" fillId="0" borderId="7" xfId="1" applyNumberFormat="1" applyFont="1" applyBorder="1"/>
    <xf numFmtId="12" fontId="3" fillId="0" borderId="11" xfId="1" applyNumberFormat="1" applyFont="1" applyBorder="1"/>
    <xf numFmtId="0" fontId="6" fillId="6" borderId="6" xfId="0" applyFont="1" applyFill="1" applyBorder="1"/>
    <xf numFmtId="0" fontId="3" fillId="6" borderId="6" xfId="0" applyFont="1" applyFill="1" applyBorder="1"/>
    <xf numFmtId="12" fontId="3" fillId="6" borderId="6" xfId="1" applyNumberFormat="1" applyFont="1" applyFill="1" applyBorder="1" applyAlignment="1">
      <alignment wrapText="1"/>
    </xf>
    <xf numFmtId="164" fontId="3" fillId="6" borderId="6" xfId="1" applyNumberFormat="1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164" fontId="6" fillId="0" borderId="8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17" xfId="0" applyFont="1" applyBorder="1"/>
    <xf numFmtId="164" fontId="6" fillId="5" borderId="20" xfId="0" applyNumberFormat="1" applyFont="1" applyFill="1" applyBorder="1"/>
    <xf numFmtId="164" fontId="6" fillId="2" borderId="19" xfId="0" applyNumberFormat="1" applyFont="1" applyFill="1" applyBorder="1"/>
    <xf numFmtId="0" fontId="6" fillId="0" borderId="20" xfId="0" applyFont="1" applyBorder="1"/>
    <xf numFmtId="164" fontId="6" fillId="5" borderId="10" xfId="1" applyNumberFormat="1" applyFont="1" applyFill="1" applyBorder="1" applyAlignment="1">
      <alignment wrapText="1"/>
    </xf>
    <xf numFmtId="164" fontId="6" fillId="5" borderId="7" xfId="1" applyNumberFormat="1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/>
    <xf numFmtId="0" fontId="2" fillId="6" borderId="0" xfId="0" applyFont="1" applyFill="1" applyBorder="1"/>
    <xf numFmtId="0" fontId="9" fillId="6" borderId="0" xfId="0" applyFont="1" applyFill="1" applyBorder="1"/>
    <xf numFmtId="0" fontId="8" fillId="6" borderId="0" xfId="0" applyFont="1" applyFill="1" applyBorder="1"/>
    <xf numFmtId="0" fontId="7" fillId="6" borderId="0" xfId="0" applyFont="1" applyFill="1" applyBorder="1" applyAlignment="1"/>
    <xf numFmtId="0" fontId="9" fillId="6" borderId="17" xfId="0" applyFont="1" applyFill="1" applyBorder="1"/>
    <xf numFmtId="0" fontId="9" fillId="6" borderId="33" xfId="0" applyFont="1" applyFill="1" applyBorder="1"/>
    <xf numFmtId="0" fontId="9" fillId="6" borderId="19" xfId="0" applyFont="1" applyFill="1" applyBorder="1"/>
    <xf numFmtId="0" fontId="8" fillId="6" borderId="0" xfId="0" applyFont="1" applyFill="1" applyBorder="1" applyAlignment="1">
      <alignment horizontal="left"/>
    </xf>
    <xf numFmtId="0" fontId="7" fillId="6" borderId="0" xfId="0" applyFont="1" applyFill="1" applyBorder="1"/>
    <xf numFmtId="0" fontId="0" fillId="6" borderId="0" xfId="0" applyFill="1" applyBorder="1" applyAlignment="1"/>
    <xf numFmtId="0" fontId="8" fillId="6" borderId="29" xfId="0" applyFont="1" applyFill="1" applyBorder="1"/>
    <xf numFmtId="0" fontId="2" fillId="6" borderId="32" xfId="0" applyFont="1" applyFill="1" applyBorder="1"/>
    <xf numFmtId="3" fontId="8" fillId="6" borderId="30" xfId="0" applyNumberFormat="1" applyFont="1" applyFill="1" applyBorder="1"/>
    <xf numFmtId="0" fontId="2" fillId="6" borderId="0" xfId="0" applyNumberFormat="1" applyFont="1" applyFill="1" applyBorder="1"/>
    <xf numFmtId="0" fontId="2" fillId="6" borderId="34" xfId="0" applyFont="1" applyFill="1" applyBorder="1"/>
    <xf numFmtId="3" fontId="8" fillId="6" borderId="31" xfId="0" applyNumberFormat="1" applyFont="1" applyFill="1" applyBorder="1"/>
    <xf numFmtId="0" fontId="2" fillId="6" borderId="35" xfId="0" applyFont="1" applyFill="1" applyBorder="1"/>
    <xf numFmtId="0" fontId="2" fillId="6" borderId="36" xfId="0" applyFont="1" applyFill="1" applyBorder="1"/>
    <xf numFmtId="0" fontId="2" fillId="6" borderId="37" xfId="0" applyFont="1" applyFill="1" applyBorder="1"/>
    <xf numFmtId="0" fontId="9" fillId="6" borderId="38" xfId="0" applyFont="1" applyFill="1" applyBorder="1"/>
    <xf numFmtId="0" fontId="2" fillId="6" borderId="39" xfId="0" applyFont="1" applyFill="1" applyBorder="1"/>
    <xf numFmtId="0" fontId="8" fillId="6" borderId="38" xfId="0" applyFont="1" applyFill="1" applyBorder="1" applyAlignment="1">
      <alignment horizontal="right"/>
    </xf>
    <xf numFmtId="0" fontId="2" fillId="6" borderId="38" xfId="0" applyFont="1" applyFill="1" applyBorder="1"/>
    <xf numFmtId="164" fontId="8" fillId="6" borderId="38" xfId="1" applyNumberFormat="1" applyFont="1" applyFill="1" applyBorder="1" applyAlignment="1">
      <alignment wrapText="1"/>
    </xf>
    <xf numFmtId="12" fontId="8" fillId="6" borderId="38" xfId="1" applyNumberFormat="1" applyFont="1" applyFill="1" applyBorder="1" applyAlignment="1">
      <alignment wrapText="1"/>
    </xf>
    <xf numFmtId="0" fontId="2" fillId="6" borderId="40" xfId="0" applyFont="1" applyFill="1" applyBorder="1"/>
    <xf numFmtId="0" fontId="2" fillId="6" borderId="41" xfId="0" applyFont="1" applyFill="1" applyBorder="1"/>
    <xf numFmtId="0" fontId="2" fillId="6" borderId="42" xfId="0" applyFont="1" applyFill="1" applyBorder="1"/>
    <xf numFmtId="3" fontId="8" fillId="2" borderId="30" xfId="0" applyNumberFormat="1" applyFont="1" applyFill="1" applyBorder="1"/>
    <xf numFmtId="0" fontId="2" fillId="2" borderId="32" xfId="0" applyFont="1" applyFill="1" applyBorder="1"/>
    <xf numFmtId="0" fontId="2" fillId="2" borderId="0" xfId="0" applyFont="1" applyFill="1" applyBorder="1"/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8CD2F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709082</xdr:colOff>
      <xdr:row>32</xdr:row>
      <xdr:rowOff>275167</xdr:rowOff>
    </xdr:from>
    <xdr:to>
      <xdr:col>13</xdr:col>
      <xdr:colOff>380999</xdr:colOff>
      <xdr:row>33</xdr:row>
      <xdr:rowOff>31751</xdr:rowOff>
    </xdr:to>
    <xdr:sp macro="" textlink="">
      <xdr:nvSpPr>
        <xdr:cNvPr id="2" name="Right Arrow 1"/>
        <xdr:cNvSpPr/>
      </xdr:nvSpPr>
      <xdr:spPr>
        <a:xfrm flipV="1">
          <a:off x="5249332" y="19568584"/>
          <a:ext cx="2741084" cy="63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V38"/>
  <sheetViews>
    <sheetView tabSelected="1" topLeftCell="A22" zoomScale="90" zoomScaleNormal="90" zoomScaleSheetLayoutView="80" workbookViewId="0">
      <selection activeCell="H24" sqref="H24"/>
    </sheetView>
  </sheetViews>
  <sheetFormatPr defaultRowHeight="14.25"/>
  <cols>
    <col min="1" max="1" width="6.42578125" style="1" customWidth="1"/>
    <col min="2" max="2" width="16" style="1" customWidth="1"/>
    <col min="3" max="3" width="5" style="1" customWidth="1"/>
    <col min="4" max="4" width="8.5703125" style="1" customWidth="1"/>
    <col min="5" max="5" width="9.5703125" style="1" customWidth="1"/>
    <col min="6" max="6" width="7.42578125" style="1" customWidth="1"/>
    <col min="7" max="7" width="8" style="1" customWidth="1"/>
    <col min="8" max="8" width="12" style="1" bestFit="1" customWidth="1"/>
    <col min="9" max="9" width="14.28515625" style="1" customWidth="1"/>
    <col min="10" max="10" width="7.7109375" style="1" customWidth="1"/>
    <col min="11" max="11" width="11" style="1" customWidth="1"/>
    <col min="12" max="13" width="6.42578125" style="1" customWidth="1"/>
    <col min="14" max="14" width="6.140625" style="1" customWidth="1"/>
    <col min="15" max="15" width="15.140625" style="1" customWidth="1"/>
    <col min="16" max="16" width="10" style="1" bestFit="1" customWidth="1"/>
    <col min="17" max="17" width="8.5703125" style="1" customWidth="1"/>
    <col min="18" max="18" width="11.85546875" style="1" customWidth="1"/>
    <col min="19" max="16384" width="9.140625" style="1"/>
  </cols>
  <sheetData>
    <row r="1" spans="1:18" ht="21" customHeight="1">
      <c r="A1" s="98" t="s">
        <v>0</v>
      </c>
      <c r="B1" s="100" t="s">
        <v>1</v>
      </c>
      <c r="C1" s="100" t="s">
        <v>2</v>
      </c>
      <c r="D1" s="100" t="s">
        <v>3</v>
      </c>
      <c r="E1" s="102" t="s">
        <v>80</v>
      </c>
      <c r="F1" s="10" t="s">
        <v>31</v>
      </c>
      <c r="G1" s="10"/>
      <c r="H1" s="10"/>
      <c r="I1" s="10"/>
      <c r="J1" s="10"/>
      <c r="K1" s="10"/>
      <c r="L1" s="10"/>
      <c r="M1" s="10"/>
      <c r="N1" s="11"/>
      <c r="O1" s="12"/>
      <c r="P1" s="92" t="s">
        <v>4</v>
      </c>
      <c r="Q1" s="94" t="s">
        <v>5</v>
      </c>
      <c r="R1" s="94" t="s">
        <v>6</v>
      </c>
    </row>
    <row r="2" spans="1:18" ht="34.5" thickBot="1">
      <c r="A2" s="99"/>
      <c r="B2" s="101"/>
      <c r="C2" s="101"/>
      <c r="D2" s="101"/>
      <c r="E2" s="103"/>
      <c r="F2" s="13" t="s">
        <v>7</v>
      </c>
      <c r="G2" s="14" t="s">
        <v>6</v>
      </c>
      <c r="H2" s="13" t="s">
        <v>8</v>
      </c>
      <c r="I2" s="15" t="s">
        <v>6</v>
      </c>
      <c r="J2" s="13" t="s">
        <v>33</v>
      </c>
      <c r="K2" s="15" t="s">
        <v>6</v>
      </c>
      <c r="L2" s="13" t="s">
        <v>9</v>
      </c>
      <c r="M2" s="14" t="s">
        <v>6</v>
      </c>
      <c r="N2" s="16" t="s">
        <v>10</v>
      </c>
      <c r="O2" s="17" t="s">
        <v>6</v>
      </c>
      <c r="P2" s="93"/>
      <c r="Q2" s="95"/>
      <c r="R2" s="95"/>
    </row>
    <row r="3" spans="1:18" ht="78" customHeight="1">
      <c r="A3" s="18">
        <v>1</v>
      </c>
      <c r="B3" s="19" t="s">
        <v>11</v>
      </c>
      <c r="C3" s="20">
        <v>9</v>
      </c>
      <c r="D3" s="2" t="s">
        <v>12</v>
      </c>
      <c r="E3" s="54">
        <v>13430</v>
      </c>
      <c r="F3" s="21"/>
      <c r="G3" s="21"/>
      <c r="H3" s="21">
        <f>1200*3</f>
        <v>3600</v>
      </c>
      <c r="I3" s="2" t="s">
        <v>35</v>
      </c>
      <c r="J3" s="21">
        <f>300+400+100+300+150+100</f>
        <v>1350</v>
      </c>
      <c r="K3" s="2" t="s">
        <v>32</v>
      </c>
      <c r="L3" s="22"/>
      <c r="M3" s="2"/>
      <c r="N3" s="23">
        <f>700+900+900+1355+2069+766</f>
        <v>6690</v>
      </c>
      <c r="O3" s="7" t="s">
        <v>34</v>
      </c>
      <c r="P3" s="24">
        <f>F3+H3+J3+L3+N3</f>
        <v>11640</v>
      </c>
      <c r="Q3" s="25">
        <f>E3-P3</f>
        <v>1790</v>
      </c>
      <c r="R3" s="26" t="str">
        <f>IF(E3&gt;P3,"under","over")</f>
        <v>under</v>
      </c>
    </row>
    <row r="4" spans="1:18" ht="78.75">
      <c r="A4" s="27">
        <v>2</v>
      </c>
      <c r="B4" s="28" t="s">
        <v>13</v>
      </c>
      <c r="C4" s="29">
        <v>9</v>
      </c>
      <c r="D4" s="3" t="s">
        <v>12</v>
      </c>
      <c r="E4" s="55">
        <v>13430</v>
      </c>
      <c r="F4" s="30"/>
      <c r="G4" s="30"/>
      <c r="H4" s="30">
        <v>3600</v>
      </c>
      <c r="I4" s="2" t="s">
        <v>35</v>
      </c>
      <c r="J4" s="30">
        <f>300+400+100+300+150+100</f>
        <v>1350</v>
      </c>
      <c r="K4" s="3" t="s">
        <v>36</v>
      </c>
      <c r="L4" s="31"/>
      <c r="M4" s="3"/>
      <c r="N4" s="32">
        <f>700+450+900+2069+1550+364</f>
        <v>6033</v>
      </c>
      <c r="O4" s="8" t="s">
        <v>37</v>
      </c>
      <c r="P4" s="33">
        <f>F4+H4+J4+L4+N4</f>
        <v>10983</v>
      </c>
      <c r="Q4" s="34">
        <f>E4-P4</f>
        <v>2447</v>
      </c>
      <c r="R4" s="35" t="str">
        <f t="shared" ref="R4:R16" si="0">IF(E4&gt;P4,"under","over")</f>
        <v>under</v>
      </c>
    </row>
    <row r="5" spans="1:18" ht="78.75">
      <c r="A5" s="27">
        <v>3</v>
      </c>
      <c r="B5" s="28" t="s">
        <v>14</v>
      </c>
      <c r="C5" s="29">
        <v>9</v>
      </c>
      <c r="D5" s="3" t="s">
        <v>12</v>
      </c>
      <c r="E5" s="55">
        <v>13430</v>
      </c>
      <c r="F5" s="30"/>
      <c r="G5" s="30"/>
      <c r="H5" s="30">
        <f>1200*3</f>
        <v>3600</v>
      </c>
      <c r="I5" s="2" t="s">
        <v>55</v>
      </c>
      <c r="J5" s="30">
        <f>300+400+100+300+150+100</f>
        <v>1350</v>
      </c>
      <c r="K5" s="3" t="s">
        <v>58</v>
      </c>
      <c r="L5" s="31"/>
      <c r="M5" s="3"/>
      <c r="N5" s="32">
        <f>700+450+900+1550+2069+364</f>
        <v>6033</v>
      </c>
      <c r="O5" s="8" t="s">
        <v>59</v>
      </c>
      <c r="P5" s="33">
        <f t="shared" ref="P5:P15" si="1">F5+H5+J5+L5+N5</f>
        <v>10983</v>
      </c>
      <c r="Q5" s="34">
        <f t="shared" ref="Q5:Q17" si="2">E5-P5</f>
        <v>2447</v>
      </c>
      <c r="R5" s="35" t="str">
        <f t="shared" si="0"/>
        <v>under</v>
      </c>
    </row>
    <row r="6" spans="1:18" ht="87" customHeight="1">
      <c r="A6" s="27">
        <v>4</v>
      </c>
      <c r="B6" s="28" t="s">
        <v>15</v>
      </c>
      <c r="C6" s="29">
        <v>10</v>
      </c>
      <c r="D6" s="3" t="s">
        <v>12</v>
      </c>
      <c r="E6" s="55">
        <v>18390</v>
      </c>
      <c r="F6" s="30"/>
      <c r="G6" s="30"/>
      <c r="H6" s="30">
        <f>1300*3</f>
        <v>3900</v>
      </c>
      <c r="I6" s="32" t="s">
        <v>54</v>
      </c>
      <c r="J6" s="36">
        <f>300+400+100+300+150+100</f>
        <v>1350</v>
      </c>
      <c r="K6" s="3" t="s">
        <v>57</v>
      </c>
      <c r="L6" s="31">
        <f>1380*3</f>
        <v>4140</v>
      </c>
      <c r="M6" s="3" t="s">
        <v>42</v>
      </c>
      <c r="N6" s="32">
        <f>700+900+900+710+1550+2065</f>
        <v>6825</v>
      </c>
      <c r="O6" s="8" t="s">
        <v>56</v>
      </c>
      <c r="P6" s="33">
        <f>F6+H6+J6+L6+N6</f>
        <v>16215</v>
      </c>
      <c r="Q6" s="34">
        <f t="shared" si="2"/>
        <v>2175</v>
      </c>
      <c r="R6" s="35" t="str">
        <f t="shared" si="0"/>
        <v>under</v>
      </c>
    </row>
    <row r="7" spans="1:18" ht="59.25" customHeight="1">
      <c r="A7" s="27">
        <v>5</v>
      </c>
      <c r="B7" s="28" t="s">
        <v>16</v>
      </c>
      <c r="C7" s="29">
        <v>7</v>
      </c>
      <c r="D7" s="3" t="s">
        <v>17</v>
      </c>
      <c r="E7" s="55">
        <v>17040</v>
      </c>
      <c r="F7" s="30"/>
      <c r="G7" s="30"/>
      <c r="H7" s="30">
        <f>1050*3</f>
        <v>3150</v>
      </c>
      <c r="I7" s="32" t="s">
        <v>43</v>
      </c>
      <c r="J7" s="36">
        <v>1250</v>
      </c>
      <c r="K7" s="3" t="s">
        <v>46</v>
      </c>
      <c r="L7" s="31">
        <f>1380*3</f>
        <v>4140</v>
      </c>
      <c r="M7" s="3" t="s">
        <v>41</v>
      </c>
      <c r="N7" s="32">
        <f>1413+570+1050+530+969+650+250+70+845+320</f>
        <v>6667</v>
      </c>
      <c r="O7" s="8" t="s">
        <v>47</v>
      </c>
      <c r="P7" s="33">
        <f t="shared" si="1"/>
        <v>15207</v>
      </c>
      <c r="Q7" s="34">
        <f t="shared" si="2"/>
        <v>1833</v>
      </c>
      <c r="R7" s="35" t="str">
        <f t="shared" si="0"/>
        <v>under</v>
      </c>
    </row>
    <row r="8" spans="1:18" ht="117.75" customHeight="1">
      <c r="A8" s="27">
        <v>6</v>
      </c>
      <c r="B8" s="37" t="s">
        <v>48</v>
      </c>
      <c r="C8" s="38">
        <v>10</v>
      </c>
      <c r="D8" s="3" t="s">
        <v>18</v>
      </c>
      <c r="E8" s="55">
        <v>29445</v>
      </c>
      <c r="F8" s="30">
        <f>4090*3+150+1105+330+990</f>
        <v>14845</v>
      </c>
      <c r="G8" s="3" t="s">
        <v>50</v>
      </c>
      <c r="H8" s="36">
        <f>195+800+700+1500+4500</f>
        <v>7695</v>
      </c>
      <c r="I8" s="32" t="s">
        <v>49</v>
      </c>
      <c r="J8" s="30"/>
      <c r="K8" s="4"/>
      <c r="L8" s="31"/>
      <c r="M8" s="3"/>
      <c r="N8" s="32">
        <f>220+800+2560+552+270+925+125+750</f>
        <v>6202</v>
      </c>
      <c r="O8" s="8" t="s">
        <v>51</v>
      </c>
      <c r="P8" s="33">
        <f>F8+H8+J8+L8+N8</f>
        <v>28742</v>
      </c>
      <c r="Q8" s="34">
        <f t="shared" si="2"/>
        <v>703</v>
      </c>
      <c r="R8" s="35" t="str">
        <f t="shared" si="0"/>
        <v>under</v>
      </c>
    </row>
    <row r="9" spans="1:18" ht="90">
      <c r="A9" s="27">
        <v>7</v>
      </c>
      <c r="B9" s="39" t="s">
        <v>19</v>
      </c>
      <c r="C9" s="40">
        <v>8</v>
      </c>
      <c r="D9" s="5" t="s">
        <v>17</v>
      </c>
      <c r="E9" s="55">
        <v>13450</v>
      </c>
      <c r="F9" s="41"/>
      <c r="G9" s="5"/>
      <c r="H9" s="36">
        <f>1150*3</f>
        <v>3450</v>
      </c>
      <c r="I9" s="32" t="s">
        <v>65</v>
      </c>
      <c r="J9" s="30">
        <f>1500+320</f>
        <v>1820</v>
      </c>
      <c r="K9" s="3" t="s">
        <v>64</v>
      </c>
      <c r="L9" s="42"/>
      <c r="M9" s="5"/>
      <c r="N9" s="32">
        <f>330+200+1716+255+215+880+600+225+350</f>
        <v>4771</v>
      </c>
      <c r="O9" s="8" t="s">
        <v>63</v>
      </c>
      <c r="P9" s="33">
        <f t="shared" si="1"/>
        <v>10041</v>
      </c>
      <c r="Q9" s="34">
        <f t="shared" si="2"/>
        <v>3409</v>
      </c>
      <c r="R9" s="35" t="str">
        <f t="shared" si="0"/>
        <v>under</v>
      </c>
    </row>
    <row r="10" spans="1:18" ht="123.75">
      <c r="A10" s="27">
        <v>8</v>
      </c>
      <c r="B10" s="39" t="s">
        <v>52</v>
      </c>
      <c r="C10" s="40">
        <v>8</v>
      </c>
      <c r="D10" s="5" t="s">
        <v>20</v>
      </c>
      <c r="E10" s="55">
        <v>13270</v>
      </c>
      <c r="F10" s="41"/>
      <c r="G10" s="5"/>
      <c r="H10" s="36">
        <f>1190*3+150+500+450+100</f>
        <v>4770</v>
      </c>
      <c r="I10" s="32" t="s">
        <v>53</v>
      </c>
      <c r="J10" s="30"/>
      <c r="K10" s="5"/>
      <c r="L10" s="42"/>
      <c r="M10" s="5"/>
      <c r="N10" s="32">
        <f>240+125+50+10+700+938+600+400+25+55+850+2593</f>
        <v>6586</v>
      </c>
      <c r="O10" s="8" t="s">
        <v>81</v>
      </c>
      <c r="P10" s="33">
        <f t="shared" si="1"/>
        <v>11356</v>
      </c>
      <c r="Q10" s="34">
        <f t="shared" si="2"/>
        <v>1914</v>
      </c>
      <c r="R10" s="35" t="str">
        <f t="shared" si="0"/>
        <v>under</v>
      </c>
    </row>
    <row r="11" spans="1:18" ht="78.75">
      <c r="A11" s="27">
        <v>9</v>
      </c>
      <c r="B11" s="39" t="s">
        <v>21</v>
      </c>
      <c r="C11" s="40">
        <v>9</v>
      </c>
      <c r="D11" s="5" t="s">
        <v>22</v>
      </c>
      <c r="E11" s="55">
        <v>35460</v>
      </c>
      <c r="F11" s="30">
        <f>6000*3</f>
        <v>18000</v>
      </c>
      <c r="G11" s="3" t="s">
        <v>44</v>
      </c>
      <c r="H11" s="36">
        <f>1365*3</f>
        <v>4095</v>
      </c>
      <c r="I11" s="32" t="s">
        <v>62</v>
      </c>
      <c r="J11" s="30">
        <f>2050+300+210+455+195+60</f>
        <v>3270</v>
      </c>
      <c r="K11" s="5" t="s">
        <v>61</v>
      </c>
      <c r="L11" s="42"/>
      <c r="M11" s="5"/>
      <c r="N11" s="32">
        <f>2020+990+350+25+20+20+1800+950+590</f>
        <v>6765</v>
      </c>
      <c r="O11" s="8" t="s">
        <v>60</v>
      </c>
      <c r="P11" s="33">
        <f t="shared" si="1"/>
        <v>32130</v>
      </c>
      <c r="Q11" s="34">
        <f t="shared" si="2"/>
        <v>3330</v>
      </c>
      <c r="R11" s="35" t="str">
        <f t="shared" si="0"/>
        <v>under</v>
      </c>
    </row>
    <row r="12" spans="1:18" ht="83.25" customHeight="1">
      <c r="A12" s="27">
        <v>10</v>
      </c>
      <c r="B12" s="39" t="s">
        <v>23</v>
      </c>
      <c r="C12" s="40">
        <v>6</v>
      </c>
      <c r="D12" s="5" t="s">
        <v>20</v>
      </c>
      <c r="E12" s="55">
        <v>12600</v>
      </c>
      <c r="F12" s="30"/>
      <c r="G12" s="3"/>
      <c r="H12" s="36">
        <f>1050*3+150</f>
        <v>3300</v>
      </c>
      <c r="I12" s="32" t="s">
        <v>71</v>
      </c>
      <c r="J12" s="30">
        <f>150+400+350+100</f>
        <v>1000</v>
      </c>
      <c r="K12" s="5" t="s">
        <v>73</v>
      </c>
      <c r="L12" s="42"/>
      <c r="M12" s="5"/>
      <c r="N12" s="32">
        <f>342+650+400+260+100+650+852+1692+755</f>
        <v>5701</v>
      </c>
      <c r="O12" s="8" t="s">
        <v>72</v>
      </c>
      <c r="P12" s="33">
        <f t="shared" si="1"/>
        <v>10001</v>
      </c>
      <c r="Q12" s="34">
        <f t="shared" si="2"/>
        <v>2599</v>
      </c>
      <c r="R12" s="35" t="str">
        <f t="shared" si="0"/>
        <v>under</v>
      </c>
    </row>
    <row r="13" spans="1:18" ht="67.5">
      <c r="A13" s="27">
        <v>11</v>
      </c>
      <c r="B13" s="39" t="s">
        <v>24</v>
      </c>
      <c r="C13" s="40">
        <v>9</v>
      </c>
      <c r="D13" s="5" t="s">
        <v>20</v>
      </c>
      <c r="E13" s="55">
        <v>13750</v>
      </c>
      <c r="F13" s="30"/>
      <c r="G13" s="3"/>
      <c r="H13" s="36">
        <f>1350*3</f>
        <v>4050</v>
      </c>
      <c r="I13" s="32" t="s">
        <v>39</v>
      </c>
      <c r="J13" s="30">
        <f>150+500+450+100</f>
        <v>1200</v>
      </c>
      <c r="K13" s="5" t="s">
        <v>40</v>
      </c>
      <c r="L13" s="42"/>
      <c r="M13" s="5"/>
      <c r="N13" s="32">
        <f>447+600+1367+1485+550</f>
        <v>4449</v>
      </c>
      <c r="O13" s="8" t="s">
        <v>38</v>
      </c>
      <c r="P13" s="33">
        <f t="shared" si="1"/>
        <v>9699</v>
      </c>
      <c r="Q13" s="34">
        <f t="shared" si="2"/>
        <v>4051</v>
      </c>
      <c r="R13" s="35" t="str">
        <f t="shared" si="0"/>
        <v>under</v>
      </c>
    </row>
    <row r="14" spans="1:18" ht="76.5" customHeight="1">
      <c r="A14" s="27">
        <v>12</v>
      </c>
      <c r="B14" s="39" t="s">
        <v>25</v>
      </c>
      <c r="C14" s="40">
        <v>8</v>
      </c>
      <c r="D14" s="5" t="s">
        <v>22</v>
      </c>
      <c r="E14" s="55">
        <v>33065</v>
      </c>
      <c r="F14" s="30">
        <f>5500*3</f>
        <v>16500</v>
      </c>
      <c r="G14" s="3" t="s">
        <v>45</v>
      </c>
      <c r="H14" s="36">
        <f>1200*3+50*3</f>
        <v>3750</v>
      </c>
      <c r="I14" s="32" t="s">
        <v>69</v>
      </c>
      <c r="J14" s="30">
        <f>1800</f>
        <v>1800</v>
      </c>
      <c r="K14" s="5"/>
      <c r="L14" s="42"/>
      <c r="M14" s="5"/>
      <c r="N14" s="32">
        <f>210+455+60+180+1866+1449+1750+350+862+260+20</f>
        <v>7462</v>
      </c>
      <c r="O14" s="8" t="s">
        <v>70</v>
      </c>
      <c r="P14" s="33">
        <f t="shared" si="1"/>
        <v>29512</v>
      </c>
      <c r="Q14" s="34">
        <f t="shared" si="2"/>
        <v>3553</v>
      </c>
      <c r="R14" s="35" t="str">
        <f t="shared" si="0"/>
        <v>under</v>
      </c>
    </row>
    <row r="15" spans="1:18" ht="91.5" customHeight="1">
      <c r="A15" s="27">
        <v>13</v>
      </c>
      <c r="B15" s="39" t="s">
        <v>26</v>
      </c>
      <c r="C15" s="40">
        <v>8</v>
      </c>
      <c r="D15" s="3" t="s">
        <v>18</v>
      </c>
      <c r="E15" s="55">
        <v>27615</v>
      </c>
      <c r="F15" s="30">
        <f>4015*3</f>
        <v>12045</v>
      </c>
      <c r="G15" s="3" t="s">
        <v>74</v>
      </c>
      <c r="H15" s="36"/>
      <c r="I15" s="32"/>
      <c r="J15" s="30">
        <f>570+155+600+600+1200+1200*3</f>
        <v>6725</v>
      </c>
      <c r="K15" s="4" t="s">
        <v>75</v>
      </c>
      <c r="L15" s="42"/>
      <c r="M15" s="5"/>
      <c r="N15" s="32">
        <f>300+860+572+750+980+1090+145+415+2985+310+800+416</f>
        <v>9623</v>
      </c>
      <c r="O15" s="8" t="s">
        <v>76</v>
      </c>
      <c r="P15" s="33">
        <f t="shared" si="1"/>
        <v>28393</v>
      </c>
      <c r="Q15" s="34">
        <f t="shared" si="2"/>
        <v>-778</v>
      </c>
      <c r="R15" s="35" t="str">
        <f t="shared" si="0"/>
        <v>over</v>
      </c>
    </row>
    <row r="16" spans="1:18" ht="79.5" customHeight="1">
      <c r="A16" s="27">
        <v>14</v>
      </c>
      <c r="B16" s="39" t="s">
        <v>27</v>
      </c>
      <c r="C16" s="40">
        <v>8</v>
      </c>
      <c r="D16" s="5" t="s">
        <v>28</v>
      </c>
      <c r="E16" s="55">
        <v>13060</v>
      </c>
      <c r="F16" s="30"/>
      <c r="G16" s="3"/>
      <c r="H16" s="36">
        <f>1120</f>
        <v>1120</v>
      </c>
      <c r="I16" s="32" t="s">
        <v>66</v>
      </c>
      <c r="J16" s="30">
        <f>70+185+90+185+90+370+200+10</f>
        <v>1200</v>
      </c>
      <c r="K16" s="5" t="s">
        <v>67</v>
      </c>
      <c r="L16" s="42"/>
      <c r="M16" s="5"/>
      <c r="N16" s="32">
        <f>315+1120+1315+327+1504+1144+1620+700</f>
        <v>8045</v>
      </c>
      <c r="O16" s="9" t="s">
        <v>68</v>
      </c>
      <c r="P16" s="33">
        <f>F16+H16+J16+L16+N16</f>
        <v>10365</v>
      </c>
      <c r="Q16" s="34">
        <f t="shared" si="2"/>
        <v>2695</v>
      </c>
      <c r="R16" s="35" t="str">
        <f t="shared" si="0"/>
        <v>under</v>
      </c>
    </row>
    <row r="17" spans="1:18" ht="37.5" customHeight="1" thickBot="1">
      <c r="A17" s="27"/>
      <c r="B17" s="43" t="s">
        <v>29</v>
      </c>
      <c r="C17" s="44"/>
      <c r="D17" s="45" t="s">
        <v>30</v>
      </c>
      <c r="E17" s="46">
        <v>0</v>
      </c>
      <c r="F17" s="96" t="s">
        <v>77</v>
      </c>
      <c r="G17" s="97"/>
      <c r="H17" s="97"/>
      <c r="I17" s="97"/>
      <c r="J17" s="97"/>
      <c r="K17" s="97"/>
      <c r="L17" s="97"/>
      <c r="M17" s="97"/>
      <c r="N17" s="97"/>
      <c r="O17" s="97"/>
      <c r="P17" s="47">
        <f>40+370+198+360+1475+1580+40</f>
        <v>4063</v>
      </c>
      <c r="Q17" s="48">
        <f t="shared" si="2"/>
        <v>-4063</v>
      </c>
      <c r="R17" s="49"/>
    </row>
    <row r="18" spans="1:18" ht="15" thickBot="1">
      <c r="A18" s="50"/>
      <c r="B18" s="89" t="s">
        <v>79</v>
      </c>
      <c r="C18" s="89"/>
      <c r="D18" s="90"/>
      <c r="E18" s="51">
        <f>SUM(E3:E17)</f>
        <v>267435</v>
      </c>
      <c r="F18" s="91" t="s">
        <v>78</v>
      </c>
      <c r="G18" s="89"/>
      <c r="H18" s="89"/>
      <c r="I18" s="89"/>
      <c r="J18" s="89"/>
      <c r="K18" s="89"/>
      <c r="L18" s="89"/>
      <c r="M18" s="89"/>
      <c r="N18" s="89"/>
      <c r="O18" s="90"/>
      <c r="P18" s="51">
        <f>SUM(P3:P17)</f>
        <v>239330</v>
      </c>
      <c r="Q18" s="52">
        <f>SUM(Q3:Q17)</f>
        <v>28105</v>
      </c>
      <c r="R18" s="53" t="str">
        <f>IF(E18&gt;P18,"RECEIVABLE","PAYABLE")</f>
        <v>RECEIVABLE</v>
      </c>
    </row>
    <row r="21" spans="1:18" ht="15" thickBot="1"/>
    <row r="22" spans="1:18" ht="15" thickBot="1">
      <c r="A22" s="56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6"/>
      <c r="Q22" s="6"/>
    </row>
    <row r="23" spans="1:18" ht="14.25" customHeight="1" thickBot="1">
      <c r="A23" s="57"/>
      <c r="B23" s="77" t="s">
        <v>82</v>
      </c>
      <c r="C23" s="60"/>
      <c r="D23" s="59" t="s">
        <v>89</v>
      </c>
      <c r="E23" s="58"/>
      <c r="F23" s="61"/>
      <c r="G23" s="58"/>
      <c r="H23" s="58"/>
      <c r="I23" s="62" t="s">
        <v>1</v>
      </c>
      <c r="J23" s="63"/>
      <c r="K23" s="64" t="s">
        <v>90</v>
      </c>
      <c r="L23" s="78"/>
    </row>
    <row r="24" spans="1:18" ht="14.25" customHeight="1">
      <c r="A24" s="57"/>
      <c r="B24" s="79" t="s">
        <v>83</v>
      </c>
      <c r="C24" s="60"/>
      <c r="D24" s="65">
        <f>COUNTIF($C$3:C16,6)</f>
        <v>1</v>
      </c>
      <c r="E24" s="66"/>
      <c r="F24" s="67"/>
      <c r="G24" s="58"/>
      <c r="H24" s="58" t="str">
        <f t="array" aca="1" ref="H24" ca="1">OFFSET($B$2,SMALL(IF($K24=$P$3:$P$16,ROW($B$3:$B$16),""),COUNTIF($K$24:K24,K24))-2,0)</f>
        <v>Nara Rawat</v>
      </c>
      <c r="I24" s="68" t="str">
        <f t="array" ref="I24">INDEX($B$3:$B$16,SMALL(IF($K24=$P$3:$P$16,ROW($B$3:$B$16),""),COUNTIF($K$24:K24,K24))-2)</f>
        <v>Nara Rawat</v>
      </c>
      <c r="J24" s="69"/>
      <c r="K24" s="70">
        <f>LARGE($P$3:$P$16,1)</f>
        <v>32130</v>
      </c>
      <c r="L24" s="78"/>
    </row>
    <row r="25" spans="1:18" ht="14.25" customHeight="1">
      <c r="A25" s="57"/>
      <c r="B25" s="79" t="s">
        <v>84</v>
      </c>
      <c r="C25" s="60"/>
      <c r="D25" s="65">
        <f>COUNTIF($C$3:C17,7)</f>
        <v>1</v>
      </c>
      <c r="E25" s="66"/>
      <c r="F25" s="67"/>
      <c r="G25" s="58"/>
      <c r="H25" s="58" t="str">
        <f t="array" aca="1" ref="H25" ca="1">OFFSET($B$2,SMALL(IF($K25=$P$3:$P$16,ROW($B$3:$B$16),""),COUNTIF($K$24:K25,K25))-2,0)</f>
        <v>RajKumar Rawat</v>
      </c>
      <c r="I25" s="68" t="str">
        <f t="array" ref="I25">INDEX($B$3:$B$16,SMALL(IF($K25=$P$3:$P$16,ROW($B$3:$B$16),""),COUNTIF($K$24:K25,K25))-2)</f>
        <v>RajKumar Rawat</v>
      </c>
      <c r="J25" s="69"/>
      <c r="K25" s="70">
        <f>LARGE($P$3:$P$16,2)</f>
        <v>29512</v>
      </c>
      <c r="L25" s="78"/>
      <c r="P25" s="6"/>
    </row>
    <row r="26" spans="1:18" ht="14.25" customHeight="1">
      <c r="A26" s="57"/>
      <c r="B26" s="79" t="s">
        <v>85</v>
      </c>
      <c r="C26" s="60"/>
      <c r="D26" s="65">
        <f>COUNTIF($C$3:C18,8)</f>
        <v>5</v>
      </c>
      <c r="E26" s="66"/>
      <c r="F26" s="67"/>
      <c r="G26" s="58"/>
      <c r="H26" s="58" t="str">
        <f t="array" aca="1" ref="H26" ca="1">OFFSET($B$2,SMALL(IF($K26=$P$3:$P$16,ROW($B$3:$B$16),""),COUNTIF($K$24:K26,K26))-2,0)</f>
        <v>Dinesh Rokaya aka Pawan Rokaya</v>
      </c>
      <c r="I26" s="68" t="str">
        <f t="array" ref="I26">INDEX($B$3:$B$16,SMALL(IF($K26=$P$3:$P$16,ROW($B$3:$B$16),""),COUNTIF($K$24:K26,K26))-2)</f>
        <v>Dinesh Rokaya aka Pawan Rokaya</v>
      </c>
      <c r="J26" s="69"/>
      <c r="K26" s="70">
        <f>LARGE($P$3:$P$16,3)</f>
        <v>28742</v>
      </c>
      <c r="L26" s="78"/>
    </row>
    <row r="27" spans="1:18" ht="14.25" customHeight="1">
      <c r="A27" s="57"/>
      <c r="B27" s="79" t="s">
        <v>86</v>
      </c>
      <c r="C27" s="60"/>
      <c r="D27" s="65">
        <f>COUNTIF($C$3:C19,9)</f>
        <v>5</v>
      </c>
      <c r="E27" s="66"/>
      <c r="F27" s="67"/>
      <c r="G27" s="58"/>
      <c r="H27" s="58" t="str">
        <f t="array" aca="1" ref="H27" ca="1">OFFSET($B$2,SMALL(IF($K27=$P$3:$P$16,ROW($B$3:$B$16),""),COUNTIF($K$24:K27,K27))-2,0)</f>
        <v>Shiva Thapa</v>
      </c>
      <c r="I27" s="68" t="str">
        <f t="array" ref="I27">INDEX($B$3:$B$16,SMALL(IF($K27=$P$3:$P$16,ROW($B$3:$B$16),""),COUNTIF($K$24:K27,K27))-2)</f>
        <v>Shiva Thapa</v>
      </c>
      <c r="J27" s="69"/>
      <c r="K27" s="70">
        <f>LARGE($P$3:$P$16,4)</f>
        <v>28393</v>
      </c>
      <c r="L27" s="78"/>
    </row>
    <row r="28" spans="1:18" ht="14.25" customHeight="1">
      <c r="A28" s="57"/>
      <c r="B28" s="79" t="s">
        <v>87</v>
      </c>
      <c r="C28" s="60"/>
      <c r="D28" s="65">
        <f>COUNTIF($C$3:C22,10)</f>
        <v>2</v>
      </c>
      <c r="E28" s="66"/>
      <c r="F28" s="67"/>
      <c r="G28" s="58"/>
      <c r="H28" s="58" t="str">
        <f t="array" aca="1" ref="H28" ca="1">OFFSET($B$2,SMALL(IF($K28=$P$3:$P$16,ROW($B$3:$B$16),""),COUNTIF($K$24:K28,K28))-2,0)</f>
        <v>Jitendra Barma</v>
      </c>
      <c r="I28" s="68" t="str">
        <f t="array" ref="I28">INDEX($B$3:$B$16,SMALL(IF($K28=$P$3:$P$16,ROW($B$3:$B$16),""),COUNTIF($K$24:K28,K28))-2)</f>
        <v>Jitendra Barma</v>
      </c>
      <c r="J28" s="69"/>
      <c r="K28" s="70">
        <f>LARGE($P$3:$P$16,5)</f>
        <v>16215</v>
      </c>
      <c r="L28" s="78"/>
    </row>
    <row r="29" spans="1:18" ht="14.25" customHeight="1">
      <c r="A29" s="57"/>
      <c r="B29" s="80"/>
      <c r="C29" s="58"/>
      <c r="D29" s="58"/>
      <c r="E29" s="66"/>
      <c r="F29" s="67"/>
      <c r="G29" s="58"/>
      <c r="H29" s="58" t="str">
        <f t="array" aca="1" ref="H29" ca="1">OFFSET($B$2,SMALL(IF($K29=$P$3:$P$16,ROW($B$3:$B$16),""),COUNTIF($K$24:K29,K29))-2,0)</f>
        <v>Birbal Sunar</v>
      </c>
      <c r="I29" s="68" t="str">
        <f t="array" ref="I29">INDEX($B$3:$B$16,SMALL(IF($K29=$P$3:$P$16,ROW($B$3:$B$16),""),COUNTIF($K$24:K29,K29))-2)</f>
        <v>Birbal Sunar</v>
      </c>
      <c r="J29" s="69"/>
      <c r="K29" s="70">
        <f>LARGE($P$3:$P$16,6)</f>
        <v>15207</v>
      </c>
      <c r="L29" s="78"/>
    </row>
    <row r="30" spans="1:18" ht="14.25" customHeight="1">
      <c r="A30" s="57"/>
      <c r="B30" s="77" t="s">
        <v>88</v>
      </c>
      <c r="C30" s="60"/>
      <c r="D30" s="59" t="s">
        <v>89</v>
      </c>
      <c r="E30" s="66"/>
      <c r="F30" s="67"/>
      <c r="G30" s="58"/>
      <c r="H30" s="58" t="str">
        <f t="array" aca="1" ref="H30" ca="1">OFFSET($B$2,SMALL(IF($K30=$P$3:$P$16,ROW($B$3:$B$16),""),COUNTIF($K$24:K30,K30))-2,0)</f>
        <v>Bijay Barma</v>
      </c>
      <c r="I30" s="68" t="str">
        <f t="array" ref="I30">INDEX($B$3:$B$16,SMALL(IF($K30=$P$3:$P$16,ROW($B$3:$B$16),""),COUNTIF($K$24:K30,K30))-2)</f>
        <v>Bijay Barma</v>
      </c>
      <c r="J30" s="69"/>
      <c r="K30" s="70">
        <f>LARGE($P$3:$P$16,7)</f>
        <v>11640</v>
      </c>
      <c r="L30" s="78"/>
    </row>
    <row r="31" spans="1:18" ht="24" customHeight="1">
      <c r="A31" s="57"/>
      <c r="B31" s="81" t="s">
        <v>12</v>
      </c>
      <c r="C31" s="60"/>
      <c r="D31" s="65">
        <f>COUNTIF($D$3:D16,B31)</f>
        <v>4</v>
      </c>
      <c r="E31" s="66"/>
      <c r="F31" s="67"/>
      <c r="G31" s="58"/>
      <c r="H31" s="58" t="str">
        <f t="array" aca="1" ref="H31" ca="1">OFFSET($B$2,SMALL(IF($K31=$P$3:$P$16,ROW($B$3:$B$16),""),COUNTIF($K$24:K31,K31))-2,0)</f>
        <v>Daman Raj Aidi aka Dipendra Aidi</v>
      </c>
      <c r="I31" s="68" t="str">
        <f t="array" ref="I31">INDEX($B$3:$B$16,SMALL(IF($K31=$P$3:$P$16,ROW($B$3:$B$16),""),COUNTIF($K$24:K31,K31))-2)</f>
        <v>Daman Raj Aidi aka Dipendra Aidi</v>
      </c>
      <c r="J31" s="69"/>
      <c r="K31" s="70">
        <f>LARGE($P$3:$P$16,8)</f>
        <v>11356</v>
      </c>
      <c r="L31" s="78"/>
    </row>
    <row r="32" spans="1:18" ht="24" customHeight="1">
      <c r="A32" s="57"/>
      <c r="B32" s="81" t="s">
        <v>17</v>
      </c>
      <c r="C32" s="60"/>
      <c r="D32" s="65">
        <f>COUNTIF($D$3:D17,B32)</f>
        <v>2</v>
      </c>
      <c r="E32" s="66"/>
      <c r="F32" s="67"/>
      <c r="G32" s="58"/>
      <c r="H32" s="58" t="str">
        <f t="array" aca="1" ref="H32" ca="1">OFFSET($B$2,SMALL(IF($K32=$P$3:$P$16,ROW($B$3:$B$16),""),COUNTIF($K$24:K32,K32))-2,0)</f>
        <v>Binod Barma</v>
      </c>
      <c r="I32" s="68" t="str">
        <f t="array" ref="I32">INDEX($B$3:$B$16,SMALL(IF($K32=$P$3:$P$16,ROW($B$3:$B$16),""),COUNTIF($K$24:K32,K32))-2)</f>
        <v>Binod Barma</v>
      </c>
      <c r="J32" s="87"/>
      <c r="K32" s="86">
        <f>LARGE($P$3:$P$16,9)</f>
        <v>10983</v>
      </c>
      <c r="L32" s="78"/>
    </row>
    <row r="33" spans="1:22" ht="24" customHeight="1">
      <c r="A33" s="57"/>
      <c r="B33" s="81" t="s">
        <v>18</v>
      </c>
      <c r="C33" s="60"/>
      <c r="D33" s="65">
        <f>COUNTIF($D$3:D18,B33)</f>
        <v>2</v>
      </c>
      <c r="E33" s="66"/>
      <c r="F33" s="67"/>
      <c r="G33" s="58"/>
      <c r="H33" s="58" t="str">
        <f t="array" aca="1" ref="H33" ca="1">OFFSET($B$2,SMALL(IF($K33=$P$3:$P$16,ROW($B$3:$B$16),""),COUNTIF($K$24:K33,K33))-2,0)</f>
        <v>Manoj Barma</v>
      </c>
      <c r="I33" s="68" t="str">
        <f t="array" ref="I33">INDEX($B$3:$B$16,SMALL(IF($K33=$P$3:$P$16,ROW($B$3:$B$16),""),COUNTIF($K$24:K33,K33))-2)</f>
        <v>Manoj Barma</v>
      </c>
      <c r="J33" s="87"/>
      <c r="K33" s="86">
        <f>LARGE($P$3:$P$16,10)</f>
        <v>10983</v>
      </c>
      <c r="L33" s="78"/>
    </row>
    <row r="34" spans="1:22" ht="24" customHeight="1">
      <c r="A34" s="57"/>
      <c r="B34" s="82" t="s">
        <v>20</v>
      </c>
      <c r="C34" s="60"/>
      <c r="D34" s="65">
        <f>COUNTIF($D$3:D19,B34)</f>
        <v>3</v>
      </c>
      <c r="E34" s="66"/>
      <c r="F34" s="67"/>
      <c r="G34" s="58"/>
      <c r="H34" s="58" t="str">
        <f t="array" aca="1" ref="H34" ca="1">OFFSET($B$2,SMALL(IF($K34=$P$3:$P$16,ROW($B$3:$B$16),""),COUNTIF($K$24:K34,K34))-2,0)</f>
        <v>Rajesh Singh</v>
      </c>
      <c r="I34" s="68" t="str">
        <f t="array" ref="I34">INDEX($B$3:$B$16,SMALL(IF($K34=$P$3:$P$16,ROW($B$3:$B$16),""),COUNTIF($K$24:K34,K34))-2)</f>
        <v>Rajesh Singh</v>
      </c>
      <c r="J34" s="69"/>
      <c r="K34" s="70">
        <f>LARGE($P$3:$P$16,11)</f>
        <v>10365</v>
      </c>
      <c r="L34" s="78"/>
      <c r="O34" s="88" t="s">
        <v>91</v>
      </c>
      <c r="P34" s="88"/>
      <c r="Q34" s="88"/>
      <c r="R34" s="88"/>
      <c r="S34" s="88"/>
      <c r="T34" s="88"/>
      <c r="U34" s="88"/>
      <c r="V34" s="88"/>
    </row>
    <row r="35" spans="1:22" ht="36" customHeight="1">
      <c r="A35" s="57"/>
      <c r="B35" s="82" t="s">
        <v>22</v>
      </c>
      <c r="C35" s="60"/>
      <c r="D35" s="65">
        <f>COUNTIF($D$3:D22,B35)</f>
        <v>2</v>
      </c>
      <c r="E35" s="58"/>
      <c r="F35" s="67"/>
      <c r="G35" s="58"/>
      <c r="H35" s="58" t="str">
        <f t="array" aca="1" ref="H35" ca="1">OFFSET($B$2,SMALL(IF($K35=$P$3:$P$16,ROW($B$3:$B$16),""),COUNTIF($K$24:K35,K35))-2,0)</f>
        <v>Nisha Basnet</v>
      </c>
      <c r="I35" s="68" t="str">
        <f t="array" ref="I35">INDEX($B$3:$B$16,SMALL(IF($K35=$P$3:$P$16,ROW($B$3:$B$16),""),COUNTIF($K$24:K35,K35))-2)</f>
        <v>Nisha Basnet</v>
      </c>
      <c r="J35" s="69"/>
      <c r="K35" s="70">
        <f>LARGE($P$3:$P$16,12)</f>
        <v>10041</v>
      </c>
      <c r="L35" s="78"/>
    </row>
    <row r="36" spans="1:22" ht="24.75" customHeight="1">
      <c r="A36" s="57"/>
      <c r="B36" s="82" t="s">
        <v>28</v>
      </c>
      <c r="C36" s="60"/>
      <c r="D36" s="65">
        <f>COUNTIF($D$3:D23,B36)</f>
        <v>1</v>
      </c>
      <c r="E36" s="58"/>
      <c r="F36" s="67"/>
      <c r="G36" s="58"/>
      <c r="H36" s="58" t="str">
        <f t="array" aca="1" ref="H36" ca="1">OFFSET($B$2,SMALL(IF($K36=$P$3:$P$16,ROW($B$3:$B$16),""),COUNTIF($K$24:K36,K36))-2,0)</f>
        <v>Surya Buda</v>
      </c>
      <c r="I36" s="68" t="str">
        <f t="array" ref="I36">INDEX($B$3:$B$16,SMALL(IF($K36=$P$3:$P$16,ROW($B$3:$B$16),""),COUNTIF($K$24:K36,K36))-2)</f>
        <v>Surya Buda</v>
      </c>
      <c r="J36" s="69"/>
      <c r="K36" s="70">
        <f>LARGE($P$3:$P$16,13)</f>
        <v>10001</v>
      </c>
      <c r="L36" s="78"/>
    </row>
    <row r="37" spans="1:22" ht="15" thickBot="1">
      <c r="A37" s="56"/>
      <c r="B37" s="80"/>
      <c r="C37" s="58"/>
      <c r="D37" s="71"/>
      <c r="E37" s="71"/>
      <c r="F37" s="58"/>
      <c r="G37" s="58"/>
      <c r="H37" s="58" t="str">
        <f t="array" aca="1" ref="H37" ca="1">OFFSET($B$2,SMALL(IF($K37=$P$3:$P$16,ROW($B$3:$B$16),""),COUNTIF($K$24:K37,K37))-2,0)</f>
        <v>Binita Bam</v>
      </c>
      <c r="I37" s="68" t="str">
        <f t="array" ref="I37">INDEX($B$3:$B$16,SMALL(IF($K37=$P$3:$P$16,ROW($B$3:$B$16),""),COUNTIF($K$24:K37,K37))-2)</f>
        <v>Binita Bam</v>
      </c>
      <c r="J37" s="72"/>
      <c r="K37" s="73">
        <f>LARGE($P$3:$P$16,14)</f>
        <v>9699</v>
      </c>
      <c r="L37" s="78"/>
    </row>
    <row r="38" spans="1:22" ht="15" thickBot="1">
      <c r="A38" s="56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5"/>
    </row>
  </sheetData>
  <autoFilter ref="P1:P18"/>
  <mergeCells count="11">
    <mergeCell ref="A1:A2"/>
    <mergeCell ref="B1:B2"/>
    <mergeCell ref="C1:C2"/>
    <mergeCell ref="D1:D2"/>
    <mergeCell ref="E1:E2"/>
    <mergeCell ref="B18:D18"/>
    <mergeCell ref="F18:O18"/>
    <mergeCell ref="P1:P2"/>
    <mergeCell ref="Q1:Q2"/>
    <mergeCell ref="R1:R2"/>
    <mergeCell ref="F17:O17"/>
  </mergeCells>
  <pageMargins left="0.76" right="0.21" top="0.72" bottom="0.24" header="0.26" footer="0.16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C24" sqref="C24"/>
    </sheetView>
  </sheetViews>
  <sheetFormatPr defaultRowHeight="15"/>
  <cols>
    <col min="2" max="2" width="11.42578125" customWidth="1"/>
    <col min="3" max="3" width="10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Advance settled on 18 June 2012</vt:lpstr>
      <vt:lpstr>Sheet1</vt:lpstr>
      <vt:lpstr>'Advance settled on 18 June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Noorain Ansari</cp:lastModifiedBy>
  <cp:lastPrinted>2012-06-26T04:39:25Z</cp:lastPrinted>
  <dcterms:created xsi:type="dcterms:W3CDTF">2012-06-19T11:01:49Z</dcterms:created>
  <dcterms:modified xsi:type="dcterms:W3CDTF">2012-06-26T05:41:02Z</dcterms:modified>
</cp:coreProperties>
</file>